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9600"/>
  </bookViews>
  <sheets>
    <sheet name="Calculo_Weibull" sheetId="8" r:id="rId1"/>
    <sheet name="Pareto" sheetId="9" r:id="rId2"/>
  </sheets>
  <calcPr calcId="144525"/>
</workbook>
</file>

<file path=xl/calcChain.xml><?xml version="1.0" encoding="utf-8"?>
<calcChain xmlns="http://schemas.openxmlformats.org/spreadsheetml/2006/main">
  <c r="C25" i="8" l="1"/>
  <c r="A76" i="8" l="1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37" i="8"/>
  <c r="A31" i="8"/>
  <c r="A32" i="8"/>
  <c r="A33" i="8"/>
  <c r="A34" i="8"/>
  <c r="A35" i="8"/>
  <c r="A47" i="8"/>
  <c r="A46" i="8"/>
  <c r="A45" i="8"/>
  <c r="A44" i="8"/>
  <c r="A43" i="8"/>
  <c r="A38" i="8"/>
  <c r="A42" i="8"/>
  <c r="A41" i="8"/>
  <c r="A40" i="8"/>
  <c r="A39" i="8"/>
  <c r="A30" i="8"/>
  <c r="A36" i="8"/>
  <c r="B19" i="8" l="1"/>
  <c r="C54" i="8" l="1"/>
  <c r="B74" i="8" l="1"/>
  <c r="B75" i="8"/>
  <c r="B73" i="8"/>
  <c r="B76" i="8"/>
  <c r="B58" i="8"/>
  <c r="B60" i="8"/>
  <c r="B62" i="8"/>
  <c r="B64" i="8"/>
  <c r="B66" i="8"/>
  <c r="B68" i="8"/>
  <c r="B70" i="8"/>
  <c r="B72" i="8"/>
  <c r="B59" i="8"/>
  <c r="B61" i="8"/>
  <c r="B63" i="8"/>
  <c r="B65" i="8"/>
  <c r="B67" i="8"/>
  <c r="B69" i="8"/>
  <c r="B71" i="8"/>
  <c r="A19" i="8"/>
  <c r="B4" i="8" l="1"/>
  <c r="C20" i="8" s="1"/>
  <c r="D20" i="8" s="1"/>
  <c r="E20" i="8" s="1"/>
  <c r="F20" i="8" s="1"/>
  <c r="C57" i="8" l="1"/>
  <c r="B28" i="8"/>
  <c r="B30" i="8" s="1"/>
  <c r="C17" i="8"/>
  <c r="G17" i="8" s="1"/>
  <c r="C15" i="8"/>
  <c r="C16" i="8" s="1"/>
  <c r="G16" i="8" s="1"/>
  <c r="G10" i="8"/>
  <c r="C73" i="8" l="1"/>
  <c r="C75" i="8"/>
  <c r="C76" i="8"/>
  <c r="D57" i="8"/>
  <c r="C58" i="8"/>
  <c r="C66" i="8"/>
  <c r="C60" i="8"/>
  <c r="C68" i="8"/>
  <c r="C62" i="8"/>
  <c r="C70" i="8"/>
  <c r="C64" i="8"/>
  <c r="C72" i="8"/>
  <c r="C69" i="8"/>
  <c r="C65" i="8"/>
  <c r="C74" i="8"/>
  <c r="C63" i="8"/>
  <c r="C61" i="8"/>
  <c r="C67" i="8"/>
  <c r="C59" i="8"/>
  <c r="C71" i="8"/>
  <c r="C28" i="8"/>
  <c r="B47" i="8"/>
  <c r="B29" i="8"/>
  <c r="B33" i="8"/>
  <c r="B37" i="8"/>
  <c r="B41" i="8"/>
  <c r="B44" i="8"/>
  <c r="B34" i="8"/>
  <c r="B38" i="8"/>
  <c r="B42" i="8"/>
  <c r="B43" i="8"/>
  <c r="B46" i="8"/>
  <c r="B31" i="8"/>
  <c r="B35" i="8"/>
  <c r="B39" i="8"/>
  <c r="B45" i="8"/>
  <c r="B32" i="8"/>
  <c r="B36" i="8"/>
  <c r="B40" i="8"/>
  <c r="B15" i="9"/>
  <c r="C7" i="9" s="1"/>
  <c r="D7" i="9" s="1"/>
  <c r="D74" i="8" l="1"/>
  <c r="D76" i="8"/>
  <c r="D62" i="8"/>
  <c r="D60" i="8"/>
  <c r="D66" i="8"/>
  <c r="D71" i="8"/>
  <c r="D65" i="8"/>
  <c r="D61" i="8"/>
  <c r="D72" i="8"/>
  <c r="D64" i="8"/>
  <c r="D70" i="8"/>
  <c r="D68" i="8"/>
  <c r="D59" i="8"/>
  <c r="D69" i="8"/>
  <c r="D73" i="8"/>
  <c r="D75" i="8"/>
  <c r="D58" i="8"/>
  <c r="D67" i="8"/>
  <c r="D63" i="8"/>
  <c r="C46" i="8"/>
  <c r="C44" i="8"/>
  <c r="C32" i="8"/>
  <c r="C36" i="8"/>
  <c r="C40" i="8"/>
  <c r="C43" i="8"/>
  <c r="C29" i="8"/>
  <c r="C33" i="8"/>
  <c r="C37" i="8"/>
  <c r="C41" i="8"/>
  <c r="C30" i="8"/>
  <c r="C34" i="8"/>
  <c r="C38" i="8"/>
  <c r="C42" i="8"/>
  <c r="C45" i="8"/>
  <c r="C31" i="8"/>
  <c r="C35" i="8"/>
  <c r="C39" i="8"/>
  <c r="C47" i="8"/>
  <c r="C9" i="9"/>
  <c r="C11" i="9"/>
  <c r="C13" i="9"/>
  <c r="C15" i="9"/>
  <c r="C8" i="9"/>
  <c r="D8" i="9" s="1"/>
  <c r="D9" i="9" s="1"/>
  <c r="C10" i="9"/>
  <c r="C12" i="9"/>
  <c r="C14" i="9"/>
  <c r="B13" i="8"/>
  <c r="D10" i="9" l="1"/>
  <c r="D11" i="9" s="1"/>
  <c r="D12" i="9" s="1"/>
  <c r="D13" i="9" s="1"/>
  <c r="D14" i="9" s="1"/>
  <c r="G13" i="8"/>
  <c r="G12" i="8"/>
  <c r="D10" i="8"/>
  <c r="G11" i="8"/>
  <c r="D11" i="8" l="1"/>
  <c r="D12" i="8"/>
</calcChain>
</file>

<file path=xl/sharedStrings.xml><?xml version="1.0" encoding="utf-8"?>
<sst xmlns="http://schemas.openxmlformats.org/spreadsheetml/2006/main" count="76" uniqueCount="64">
  <si>
    <t>F</t>
  </si>
  <si>
    <t>Media:</t>
  </si>
  <si>
    <t>c.d.f.:</t>
  </si>
  <si>
    <r>
      <t xml:space="preserve">   Valor de landa (</t>
    </r>
    <r>
      <rPr>
        <sz val="11"/>
        <color theme="1"/>
        <rFont val="Arial"/>
        <family val="2"/>
      </rPr>
      <t>λ</t>
    </r>
    <r>
      <rPr>
        <sz val="11"/>
        <color theme="1"/>
        <rFont val="Calibri"/>
        <family val="2"/>
      </rPr>
      <t>):</t>
    </r>
  </si>
  <si>
    <t>Parámetro de escala</t>
  </si>
  <si>
    <t>Valor de k, parámetro de forma</t>
  </si>
  <si>
    <r>
      <t>x/</t>
    </r>
    <r>
      <rPr>
        <sz val="10"/>
        <color theme="1"/>
        <rFont val="Arial"/>
        <family val="2"/>
      </rPr>
      <t>λ</t>
    </r>
  </si>
  <si>
    <t>Gráfico de la función de Weibull</t>
  </si>
  <si>
    <t>p.d.f.:</t>
  </si>
  <si>
    <t>F(t)=</t>
  </si>
  <si>
    <t>R(t)=</t>
  </si>
  <si>
    <t>R(t)=1-F(t)=</t>
  </si>
  <si>
    <t>Probabilidad acumulada</t>
  </si>
  <si>
    <t>Fiabilidad</t>
  </si>
  <si>
    <t>R(t,To)=</t>
  </si>
  <si>
    <t>Datos para el cálculo</t>
  </si>
  <si>
    <t>Parámetro de forma</t>
  </si>
  <si>
    <t>Parámetro de localización</t>
  </si>
  <si>
    <t>k =</t>
  </si>
  <si>
    <t>λ =</t>
  </si>
  <si>
    <t>To =</t>
  </si>
  <si>
    <t>Tasa_fallos</t>
  </si>
  <si>
    <t>Ejercicio sobre el principio de Pareto</t>
  </si>
  <si>
    <t>Nº de errores</t>
  </si>
  <si>
    <t>% s/Total</t>
  </si>
  <si>
    <t>Error tipo</t>
  </si>
  <si>
    <t>% Acum. Total</t>
  </si>
  <si>
    <t>A</t>
  </si>
  <si>
    <t>B</t>
  </si>
  <si>
    <t>C</t>
  </si>
  <si>
    <t>D</t>
  </si>
  <si>
    <t>E</t>
  </si>
  <si>
    <t>G</t>
  </si>
  <si>
    <t>H</t>
  </si>
  <si>
    <t>Total / %</t>
  </si>
  <si>
    <t>Tabla de errores según tipo de fallo</t>
  </si>
  <si>
    <t>Función Weibull, parámetros y formulas para calcular el modelo</t>
  </si>
  <si>
    <t>C: Exp(B)</t>
  </si>
  <si>
    <t>Media=λ·C</t>
  </si>
  <si>
    <t>Ud</t>
  </si>
  <si>
    <t>km</t>
  </si>
  <si>
    <r>
      <t xml:space="preserve"> Función gamma (1+1/k</t>
    </r>
    <r>
      <rPr>
        <sz val="11"/>
        <color theme="1"/>
        <rFont val="Calibri"/>
        <family val="2"/>
      </rPr>
      <t>):</t>
    </r>
  </si>
  <si>
    <t>B:gamma_ln</t>
  </si>
  <si>
    <t>Funcion de distribución de probabilidades</t>
  </si>
  <si>
    <t>x ó t</t>
  </si>
  <si>
    <t>x ó t =</t>
  </si>
  <si>
    <t>Función acumulada de probabilidades</t>
  </si>
  <si>
    <r>
      <t xml:space="preserve">Cálculo con parámetro de localización </t>
    </r>
    <r>
      <rPr>
        <b/>
        <sz val="11"/>
        <color theme="1"/>
        <rFont val="Calibri"/>
        <family val="2"/>
        <scheme val="minor"/>
      </rPr>
      <t>To = 0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</si>
  <si>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   MTBF </t>
    </r>
    <r>
      <rPr>
        <sz val="11"/>
        <color theme="1"/>
        <rFont val="Calibri"/>
        <family val="2"/>
        <scheme val="minor"/>
      </rPr>
      <t xml:space="preserve">= </t>
    </r>
    <r>
      <rPr>
        <sz val="11"/>
        <color theme="1"/>
        <rFont val="Calibri"/>
        <family val="2"/>
      </rPr>
      <t>λ·Γ</t>
    </r>
    <r>
      <rPr>
        <sz val="11"/>
        <color theme="1"/>
        <rFont val="Calibri"/>
        <family val="2"/>
        <scheme val="minor"/>
      </rPr>
      <t>(1+1/k) =</t>
    </r>
  </si>
  <si>
    <r>
      <rPr>
        <b/>
        <sz val="11"/>
        <color theme="1"/>
        <rFont val="Calibri"/>
        <family val="2"/>
        <scheme val="minor"/>
      </rPr>
      <t xml:space="preserve">Media </t>
    </r>
    <r>
      <rPr>
        <sz val="11"/>
        <color theme="1"/>
        <rFont val="Calibri"/>
        <family val="2"/>
        <scheme val="minor"/>
      </rPr>
      <t>= (MTBF + To) =</t>
    </r>
  </si>
  <si>
    <r>
      <rPr>
        <b/>
        <sz val="11"/>
        <color theme="1"/>
        <rFont val="Calibri"/>
        <family val="2"/>
        <scheme val="minor"/>
      </rPr>
      <t xml:space="preserve">Mediana </t>
    </r>
    <r>
      <rPr>
        <sz val="11"/>
        <color theme="1"/>
        <rFont val="Calibri"/>
        <family val="2"/>
        <scheme val="minor"/>
      </rPr>
      <t xml:space="preserve">= </t>
    </r>
    <r>
      <rPr>
        <sz val="11"/>
        <color theme="1"/>
        <rFont val="Calibri"/>
        <family val="2"/>
      </rPr>
      <t>λ·ln(2)^(1/k) =</t>
    </r>
  </si>
  <si>
    <r>
      <rPr>
        <b/>
        <sz val="11"/>
        <color theme="1"/>
        <rFont val="Calibri"/>
        <family val="2"/>
        <scheme val="minor"/>
      </rPr>
      <t>Mediana</t>
    </r>
    <r>
      <rPr>
        <sz val="11"/>
        <color theme="1"/>
        <rFont val="Calibri"/>
        <family val="2"/>
        <scheme val="minor"/>
      </rPr>
      <t xml:space="preserve"> = Mediana + To</t>
    </r>
  </si>
  <si>
    <r>
      <t>A: (1+1/k</t>
    </r>
    <r>
      <rPr>
        <sz val="11"/>
        <color rgb="FFFF0000"/>
        <rFont val="Calibri"/>
        <family val="2"/>
      </rPr>
      <t>)</t>
    </r>
  </si>
  <si>
    <r>
      <t xml:space="preserve">Cálculo </t>
    </r>
    <r>
      <rPr>
        <b/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</rPr>
      <t>≠ 0</t>
    </r>
  </si>
  <si>
    <r>
      <t xml:space="preserve">  km          </t>
    </r>
    <r>
      <rPr>
        <sz val="11"/>
        <color theme="1"/>
        <rFont val="Calibri"/>
        <family val="2"/>
      </rPr>
      <t>→</t>
    </r>
  </si>
  <si>
    <r>
      <t xml:space="preserve">Valores para c.d.f;  F(x ó t; k, </t>
    </r>
    <r>
      <rPr>
        <b/>
        <sz val="11"/>
        <color theme="1"/>
        <rFont val="Arial"/>
        <family val="2"/>
      </rPr>
      <t>λ</t>
    </r>
    <r>
      <rPr>
        <b/>
        <sz val="11"/>
        <color theme="1"/>
        <rFont val="Calibri"/>
        <family val="2"/>
      </rPr>
      <t>)</t>
    </r>
  </si>
  <si>
    <r>
      <t xml:space="preserve">Valores para f.d.p;  f(x; k, </t>
    </r>
    <r>
      <rPr>
        <b/>
        <sz val="11"/>
        <color theme="1"/>
        <rFont val="Arial"/>
        <family val="2"/>
      </rPr>
      <t>λ</t>
    </r>
    <r>
      <rPr>
        <b/>
        <sz val="11"/>
        <color theme="1"/>
        <rFont val="Calibri"/>
        <family val="2"/>
      </rPr>
      <t>)</t>
    </r>
  </si>
  <si>
    <t>hasta 2013</t>
  </si>
  <si>
    <t>superior 2013</t>
  </si>
  <si>
    <t xml:space="preserve">Version excel:  </t>
  </si>
  <si>
    <t>Excel 2010-2013</t>
  </si>
  <si>
    <t>Calculo Excel &gt; 2013</t>
  </si>
  <si>
    <t>Unidad</t>
  </si>
  <si>
    <r>
      <rPr>
        <sz val="9"/>
        <color theme="1"/>
        <rFont val="Calibri"/>
        <family val="2"/>
        <scheme val="minor"/>
      </rPr>
      <t>Tiempo / Averías</t>
    </r>
    <r>
      <rPr>
        <sz val="11"/>
        <color theme="1"/>
        <rFont val="Calibri"/>
        <family val="2"/>
        <scheme val="minor"/>
      </rPr>
      <t xml:space="preserve"> / </t>
    </r>
    <r>
      <rPr>
        <sz val="12"/>
        <color theme="1"/>
        <rFont val="Calibri"/>
        <family val="2"/>
        <scheme val="minor"/>
      </rPr>
      <t xml:space="preserve">km </t>
    </r>
    <r>
      <rPr>
        <sz val="11"/>
        <color theme="1"/>
        <rFont val="Calibri"/>
        <family val="2"/>
        <scheme val="minor"/>
      </rPr>
      <t>/</t>
    </r>
    <r>
      <rPr>
        <sz val="9"/>
        <color theme="1"/>
        <rFont val="Calibri"/>
        <family val="2"/>
        <scheme val="minor"/>
      </rPr>
      <t xml:space="preserve">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</si>
</sst>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4F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2" fillId="0" borderId="3" xfId="0" applyFont="1" applyBorder="1"/>
    <xf numFmtId="1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Font="1"/>
    <xf numFmtId="1" fontId="16" fillId="0" borderId="4" xfId="0" applyNumberFormat="1" applyFont="1" applyBorder="1" applyAlignment="1">
      <alignment horizontal="center"/>
    </xf>
    <xf numFmtId="0" fontId="15" fillId="0" borderId="0" xfId="0" applyFont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3" fillId="0" borderId="9" xfId="0" applyFont="1" applyBorder="1" applyAlignment="1" applyProtection="1">
      <alignment horizontal="left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0" fillId="0" borderId="14" xfId="0" applyBorder="1" applyProtection="1"/>
    <xf numFmtId="164" fontId="15" fillId="0" borderId="9" xfId="0" applyNumberFormat="1" applyFont="1" applyBorder="1" applyAlignment="1" applyProtection="1">
      <alignment horizontal="center"/>
    </xf>
    <xf numFmtId="0" fontId="0" fillId="0" borderId="15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left"/>
    </xf>
    <xf numFmtId="3" fontId="15" fillId="0" borderId="9" xfId="0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right"/>
    </xf>
    <xf numFmtId="3" fontId="15" fillId="0" borderId="14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3" fillId="0" borderId="14" xfId="0" applyFont="1" applyBorder="1" applyProtection="1"/>
    <xf numFmtId="0" fontId="13" fillId="0" borderId="6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0" fillId="0" borderId="9" xfId="0" applyNumberFormat="1" applyBorder="1" applyProtection="1"/>
    <xf numFmtId="3" fontId="17" fillId="0" borderId="6" xfId="0" applyNumberFormat="1" applyFont="1" applyBorder="1" applyAlignment="1" applyProtection="1">
      <alignment horizontal="center"/>
    </xf>
    <xf numFmtId="164" fontId="18" fillId="0" borderId="9" xfId="0" applyNumberFormat="1" applyFont="1" applyBorder="1" applyAlignment="1" applyProtection="1">
      <alignment horizontal="center"/>
    </xf>
    <xf numFmtId="1" fontId="18" fillId="0" borderId="9" xfId="0" applyNumberFormat="1" applyFont="1" applyBorder="1" applyAlignment="1" applyProtection="1">
      <alignment horizontal="center"/>
    </xf>
    <xf numFmtId="3" fontId="18" fillId="0" borderId="9" xfId="0" applyNumberFormat="1" applyFont="1" applyBorder="1" applyAlignment="1" applyProtection="1">
      <alignment horizontal="center"/>
    </xf>
    <xf numFmtId="0" fontId="19" fillId="0" borderId="0" xfId="0" applyFont="1"/>
    <xf numFmtId="0" fontId="15" fillId="0" borderId="0" xfId="0" applyFont="1" applyBorder="1" applyProtection="1"/>
    <xf numFmtId="0" fontId="14" fillId="0" borderId="0" xfId="0" applyFont="1" applyFill="1" applyBorder="1" applyAlignment="1" applyProtection="1">
      <alignment horizontal="center"/>
    </xf>
    <xf numFmtId="0" fontId="2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5F5F"/>
      <color rgb="FF969696"/>
      <color rgb="FF996600"/>
      <color rgb="FFCC9900"/>
      <color rgb="FFFF9900"/>
      <color rgb="FFFF4F8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/>
              <a:t>Weibull</a:t>
            </a:r>
            <a:r>
              <a:rPr lang="es-ES" sz="1400" baseline="0"/>
              <a:t> - </a:t>
            </a:r>
            <a:r>
              <a:rPr lang="es-ES" sz="1400"/>
              <a:t>c.d.f.</a:t>
            </a:r>
            <a:r>
              <a:rPr lang="es-ES" sz="1400" baseline="0"/>
              <a:t> - F(x ó t,k,</a:t>
            </a:r>
            <a:r>
              <a:rPr lang="el-GR" sz="1400" baseline="0"/>
              <a:t>λ</a:t>
            </a:r>
            <a:r>
              <a:rPr lang="es-ES" sz="1400" baseline="0"/>
              <a:t>)</a:t>
            </a:r>
            <a:endParaRPr lang="es-ES" sz="1400"/>
          </a:p>
        </c:rich>
      </c:tx>
      <c:layout>
        <c:manualLayout>
          <c:xMode val="edge"/>
          <c:yMode val="edge"/>
          <c:x val="0.10329855643044618"/>
          <c:y val="1.960784313725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3905626282695971"/>
          <c:w val="0.84123381452318458"/>
          <c:h val="0.76327650632455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Calculo_Weibull!$B$28</c:f>
              <c:strCache>
                <c:ptCount val="1"/>
                <c:pt idx="0">
                  <c:v>3,5</c:v>
                </c:pt>
              </c:strCache>
            </c:strRef>
          </c:tx>
          <c:spPr>
            <a:ln w="19050"/>
          </c:spPr>
          <c:marker>
            <c:symbol val="x"/>
            <c:size val="5"/>
          </c:marker>
          <c:xVal>
            <c:numRef>
              <c:f>Calculo_Weibull!$A$29:$A$47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16666.666666666668</c:v>
                </c:pt>
                <c:pt idx="4">
                  <c:v>25000</c:v>
                </c:pt>
                <c:pt idx="5">
                  <c:v>33333.333333333336</c:v>
                </c:pt>
                <c:pt idx="6">
                  <c:v>40000</c:v>
                </c:pt>
                <c:pt idx="7">
                  <c:v>50000</c:v>
                </c:pt>
                <c:pt idx="8">
                  <c:v>66666.666666666672</c:v>
                </c:pt>
                <c:pt idx="9">
                  <c:v>100000</c:v>
                </c:pt>
                <c:pt idx="10">
                  <c:v>150000</c:v>
                </c:pt>
                <c:pt idx="11">
                  <c:v>200000</c:v>
                </c:pt>
                <c:pt idx="12">
                  <c:v>250000</c:v>
                </c:pt>
                <c:pt idx="13">
                  <c:v>300000</c:v>
                </c:pt>
                <c:pt idx="14">
                  <c:v>350000</c:v>
                </c:pt>
                <c:pt idx="15">
                  <c:v>400000</c:v>
                </c:pt>
                <c:pt idx="16">
                  <c:v>450000</c:v>
                </c:pt>
                <c:pt idx="17">
                  <c:v>500000</c:v>
                </c:pt>
                <c:pt idx="18">
                  <c:v>600000</c:v>
                </c:pt>
              </c:numCache>
            </c:numRef>
          </c:xVal>
          <c:yVal>
            <c:numRef>
              <c:f>Calculo_Weibull!$B$29:$B$47</c:f>
              <c:numCache>
                <c:formatCode>General</c:formatCode>
                <c:ptCount val="19"/>
                <c:pt idx="0">
                  <c:v>0</c:v>
                </c:pt>
                <c:pt idx="1">
                  <c:v>3.4500074475030118E-7</c:v>
                </c:pt>
                <c:pt idx="2">
                  <c:v>3.9032309141484589E-6</c:v>
                </c:pt>
                <c:pt idx="3">
                  <c:v>2.3328706013958644E-5</c:v>
                </c:pt>
                <c:pt idx="4">
                  <c:v>9.6426007052285989E-5</c:v>
                </c:pt>
                <c:pt idx="5">
                  <c:v>2.6390242979601464E-4</c:v>
                </c:pt>
                <c:pt idx="6">
                  <c:v>4.9948974550939607E-4</c:v>
                </c:pt>
                <c:pt idx="7">
                  <c:v>1.0903934247724623E-3</c:v>
                </c:pt>
                <c:pt idx="8">
                  <c:v>2.981655211344858E-3</c:v>
                </c:pt>
                <c:pt idx="9">
                  <c:v>1.226726010946777E-2</c:v>
                </c:pt>
                <c:pt idx="10">
                  <c:v>4.9740786391122449E-2</c:v>
                </c:pt>
                <c:pt idx="11">
                  <c:v>0.13033439825480375</c:v>
                </c:pt>
                <c:pt idx="12">
                  <c:v>0.26283277305180475</c:v>
                </c:pt>
                <c:pt idx="13">
                  <c:v>0.43854900491543203</c:v>
                </c:pt>
                <c:pt idx="14">
                  <c:v>0.62844707074683581</c:v>
                </c:pt>
                <c:pt idx="15">
                  <c:v>0.7940083970601497</c:v>
                </c:pt>
                <c:pt idx="16">
                  <c:v>0.90800228058674104</c:v>
                </c:pt>
                <c:pt idx="17">
                  <c:v>0.96825461895130416</c:v>
                </c:pt>
                <c:pt idx="18">
                  <c:v>0.99854189965274964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Calculo_Weibull!$C$28</c:f>
              <c:strCache>
                <c:ptCount val="1"/>
                <c:pt idx="0">
                  <c:v>7</c:v>
                </c:pt>
              </c:strCache>
            </c:strRef>
          </c:tx>
          <c:spPr>
            <a:ln w="19050"/>
          </c:spPr>
          <c:marker>
            <c:symbol val="plus"/>
            <c:size val="5"/>
          </c:marker>
          <c:xVal>
            <c:numRef>
              <c:f>Calculo_Weibull!$A$29:$A$47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16666.666666666668</c:v>
                </c:pt>
                <c:pt idx="4">
                  <c:v>25000</c:v>
                </c:pt>
                <c:pt idx="5">
                  <c:v>33333.333333333336</c:v>
                </c:pt>
                <c:pt idx="6">
                  <c:v>40000</c:v>
                </c:pt>
                <c:pt idx="7">
                  <c:v>50000</c:v>
                </c:pt>
                <c:pt idx="8">
                  <c:v>66666.666666666672</c:v>
                </c:pt>
                <c:pt idx="9">
                  <c:v>100000</c:v>
                </c:pt>
                <c:pt idx="10">
                  <c:v>150000</c:v>
                </c:pt>
                <c:pt idx="11">
                  <c:v>200000</c:v>
                </c:pt>
                <c:pt idx="12">
                  <c:v>250000</c:v>
                </c:pt>
                <c:pt idx="13">
                  <c:v>300000</c:v>
                </c:pt>
                <c:pt idx="14">
                  <c:v>350000</c:v>
                </c:pt>
                <c:pt idx="15">
                  <c:v>400000</c:v>
                </c:pt>
                <c:pt idx="16">
                  <c:v>450000</c:v>
                </c:pt>
                <c:pt idx="17">
                  <c:v>500000</c:v>
                </c:pt>
                <c:pt idx="18">
                  <c:v>600000</c:v>
                </c:pt>
              </c:numCache>
            </c:numRef>
          </c:xVal>
          <c:yVal>
            <c:numRef>
              <c:f>Calculo_Weibull!$C$29:$C$47</c:f>
              <c:numCache>
                <c:formatCode>General</c:formatCode>
                <c:ptCount val="19"/>
                <c:pt idx="0">
                  <c:v>0</c:v>
                </c:pt>
                <c:pt idx="1">
                  <c:v>1.1901590823981678E-13</c:v>
                </c:pt>
                <c:pt idx="2">
                  <c:v>1.5235257500023636E-11</c:v>
                </c:pt>
                <c:pt idx="3">
                  <c:v>5.442412076561709E-10</c:v>
                </c:pt>
                <c:pt idx="4">
                  <c:v>9.2988714506248016E-9</c:v>
                </c:pt>
                <c:pt idx="5">
                  <c:v>6.9662873802833758E-8</c:v>
                </c:pt>
                <c:pt idx="6">
                  <c:v>2.4961464950568057E-7</c:v>
                </c:pt>
                <c:pt idx="7">
                  <c:v>1.1902548413544878E-6</c:v>
                </c:pt>
                <c:pt idx="8">
                  <c:v>8.9168084050905705E-6</c:v>
                </c:pt>
                <c:pt idx="9">
                  <c:v>1.5234110527451161E-4</c:v>
                </c:pt>
                <c:pt idx="10">
                  <c:v>2.5997037891509756E-3</c:v>
                </c:pt>
                <c:pt idx="11">
                  <c:v>1.9312229588267504E-2</c:v>
                </c:pt>
                <c:pt idx="12">
                  <c:v>8.8796216662160421E-2</c:v>
                </c:pt>
                <c:pt idx="13">
                  <c:v>0.28336983297332796</c:v>
                </c:pt>
                <c:pt idx="14">
                  <c:v>0.62477394682143683</c:v>
                </c:pt>
                <c:pt idx="15">
                  <c:v>0.91759810184960777</c:v>
                </c:pt>
                <c:pt idx="16">
                  <c:v>0.99663038032208984</c:v>
                </c:pt>
                <c:pt idx="17">
                  <c:v>0.99999322692589676</c:v>
                </c:pt>
                <c:pt idx="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49728"/>
        <c:axId val="191373696"/>
      </c:scatterChart>
      <c:valAx>
        <c:axId val="1914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373696"/>
        <c:crosses val="autoZero"/>
        <c:crossBetween val="midCat"/>
      </c:valAx>
      <c:valAx>
        <c:axId val="19137369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49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2382502187226596"/>
          <c:y val="3.5438596491228082E-2"/>
          <c:w val="0.24852950118823799"/>
          <c:h val="7.51107513429980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/>
              <a:t>Weibull</a:t>
            </a:r>
            <a:r>
              <a:rPr lang="es-ES" sz="1400" baseline="0"/>
              <a:t> - f</a:t>
            </a:r>
            <a:r>
              <a:rPr lang="es-ES" sz="1400"/>
              <a:t>.d.p.</a:t>
            </a:r>
            <a:r>
              <a:rPr lang="es-ES" sz="1400" baseline="0"/>
              <a:t> - f(x ó t,k,</a:t>
            </a:r>
            <a:r>
              <a:rPr lang="el-GR" sz="1400" baseline="0"/>
              <a:t>λ</a:t>
            </a:r>
            <a:r>
              <a:rPr lang="es-ES" sz="1400" baseline="0"/>
              <a:t>)</a:t>
            </a:r>
            <a:endParaRPr lang="es-ES" sz="1400"/>
          </a:p>
        </c:rich>
      </c:tx>
      <c:layout>
        <c:manualLayout>
          <c:xMode val="edge"/>
          <c:yMode val="edge"/>
          <c:x val="0.10329855643044618"/>
          <c:y val="1.960784313725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33573928258967"/>
          <c:y val="0.15312059676750933"/>
          <c:w val="0.77081714785651789"/>
          <c:h val="0.749212137956439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Calculo_Weibull!$C$57</c:f>
              <c:strCache>
                <c:ptCount val="1"/>
                <c:pt idx="0">
                  <c:v>3,5</c:v>
                </c:pt>
              </c:strCache>
            </c:strRef>
          </c:tx>
          <c:spPr>
            <a:ln w="19050"/>
          </c:spPr>
          <c:marker>
            <c:symbol val="plus"/>
            <c:size val="5"/>
          </c:marker>
          <c:xVal>
            <c:numRef>
              <c:f>Calculo_Weibull!$A$58:$A$76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16666.666666666668</c:v>
                </c:pt>
                <c:pt idx="4">
                  <c:v>25000</c:v>
                </c:pt>
                <c:pt idx="5">
                  <c:v>33333.333333333336</c:v>
                </c:pt>
                <c:pt idx="6">
                  <c:v>40000</c:v>
                </c:pt>
                <c:pt idx="7">
                  <c:v>50000</c:v>
                </c:pt>
                <c:pt idx="8">
                  <c:v>66666.666666666672</c:v>
                </c:pt>
                <c:pt idx="9">
                  <c:v>100000</c:v>
                </c:pt>
                <c:pt idx="10">
                  <c:v>150000</c:v>
                </c:pt>
                <c:pt idx="11">
                  <c:v>200000</c:v>
                </c:pt>
                <c:pt idx="12">
                  <c:v>250000</c:v>
                </c:pt>
                <c:pt idx="13">
                  <c:v>300000</c:v>
                </c:pt>
                <c:pt idx="14">
                  <c:v>350000</c:v>
                </c:pt>
                <c:pt idx="15">
                  <c:v>400000</c:v>
                </c:pt>
                <c:pt idx="16">
                  <c:v>450000</c:v>
                </c:pt>
                <c:pt idx="17">
                  <c:v>500000</c:v>
                </c:pt>
                <c:pt idx="18">
                  <c:v>600000</c:v>
                </c:pt>
              </c:numCache>
            </c:numRef>
          </c:xVal>
          <c:yVal>
            <c:numRef>
              <c:f>Calculo_Weibull!$C$58:$C$76</c:f>
              <c:numCache>
                <c:formatCode>General</c:formatCode>
                <c:ptCount val="19"/>
                <c:pt idx="0">
                  <c:v>0</c:v>
                </c:pt>
                <c:pt idx="1">
                  <c:v>2.4150047969266716E-10</c:v>
                </c:pt>
                <c:pt idx="2">
                  <c:v>1.3661281537865284E-9</c:v>
                </c:pt>
                <c:pt idx="3">
                  <c:v>4.8989711184942378E-9</c:v>
                </c:pt>
                <c:pt idx="4">
                  <c:v>1.3498990108160316E-8</c:v>
                </c:pt>
                <c:pt idx="5">
                  <c:v>2.7706098471045085E-8</c:v>
                </c:pt>
                <c:pt idx="6">
                  <c:v>4.3694435726517401E-8</c:v>
                </c:pt>
                <c:pt idx="7">
                  <c:v>7.6285911077052927E-8</c:v>
                </c:pt>
                <c:pt idx="8">
                  <c:v>1.5630329677697327E-7</c:v>
                </c:pt>
                <c:pt idx="9">
                  <c:v>4.2670976944846598E-7</c:v>
                </c:pt>
                <c:pt idx="10">
                  <c:v>1.1312624544295883E-6</c:v>
                </c:pt>
                <c:pt idx="11">
                  <c:v>2.1253008624542673E-6</c:v>
                </c:pt>
                <c:pt idx="12">
                  <c:v>3.1470901050152384E-6</c:v>
                </c:pt>
                <c:pt idx="13">
                  <c:v>3.7810126416476874E-6</c:v>
                </c:pt>
                <c:pt idx="14">
                  <c:v>3.6786116096973316E-6</c:v>
                </c:pt>
                <c:pt idx="15">
                  <c:v>2.8476894884265987E-6</c:v>
                </c:pt>
                <c:pt idx="16">
                  <c:v>1.707267144584509E-6</c:v>
                </c:pt>
                <c:pt idx="17">
                  <c:v>7.6665273962442177E-7</c:v>
                </c:pt>
                <c:pt idx="18">
                  <c:v>5.5546752852686444E-8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Calculo_Weibull!$D$57</c:f>
              <c:strCache>
                <c:ptCount val="1"/>
                <c:pt idx="0">
                  <c:v>7</c:v>
                </c:pt>
              </c:strCache>
            </c:strRef>
          </c:tx>
          <c:spPr>
            <a:ln w="19050"/>
          </c:spPr>
          <c:marker>
            <c:symbol val="x"/>
            <c:size val="5"/>
          </c:marker>
          <c:xVal>
            <c:numRef>
              <c:f>Calculo_Weibull!$A$58:$A$76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16666.666666666668</c:v>
                </c:pt>
                <c:pt idx="4">
                  <c:v>25000</c:v>
                </c:pt>
                <c:pt idx="5">
                  <c:v>33333.333333333336</c:v>
                </c:pt>
                <c:pt idx="6">
                  <c:v>40000</c:v>
                </c:pt>
                <c:pt idx="7">
                  <c:v>50000</c:v>
                </c:pt>
                <c:pt idx="8">
                  <c:v>66666.666666666672</c:v>
                </c:pt>
                <c:pt idx="9">
                  <c:v>100000</c:v>
                </c:pt>
                <c:pt idx="10">
                  <c:v>150000</c:v>
                </c:pt>
                <c:pt idx="11">
                  <c:v>200000</c:v>
                </c:pt>
                <c:pt idx="12">
                  <c:v>250000</c:v>
                </c:pt>
                <c:pt idx="13">
                  <c:v>300000</c:v>
                </c:pt>
                <c:pt idx="14">
                  <c:v>350000</c:v>
                </c:pt>
                <c:pt idx="15">
                  <c:v>400000</c:v>
                </c:pt>
                <c:pt idx="16">
                  <c:v>450000</c:v>
                </c:pt>
                <c:pt idx="17">
                  <c:v>500000</c:v>
                </c:pt>
                <c:pt idx="18">
                  <c:v>600000</c:v>
                </c:pt>
              </c:numCache>
            </c:numRef>
          </c:xVal>
          <c:yVal>
            <c:numRef>
              <c:f>Calculo_Weibull!$D$58:$D$76</c:f>
              <c:numCache>
                <c:formatCode>General</c:formatCode>
                <c:ptCount val="19"/>
                <c:pt idx="0">
                  <c:v>0</c:v>
                </c:pt>
                <c:pt idx="1">
                  <c:v>1.6663577695543303E-16</c:v>
                </c:pt>
                <c:pt idx="2">
                  <c:v>1.0664689724986505E-14</c:v>
                </c:pt>
                <c:pt idx="3">
                  <c:v>2.2858131257169125E-13</c:v>
                </c:pt>
                <c:pt idx="4">
                  <c:v>2.6036839907176295E-12</c:v>
                </c:pt>
                <c:pt idx="5">
                  <c:v>1.462920299343766E-11</c:v>
                </c:pt>
                <c:pt idx="6">
                  <c:v>4.3682558210401054E-11</c:v>
                </c:pt>
                <c:pt idx="7">
                  <c:v>1.6663557861641269E-10</c:v>
                </c:pt>
                <c:pt idx="8">
                  <c:v>9.362607082714083E-10</c:v>
                </c:pt>
                <c:pt idx="9">
                  <c:v>1.066306505452885E-8</c:v>
                </c:pt>
                <c:pt idx="10">
                  <c:v>1.2116167593183166E-7</c:v>
                </c:pt>
                <c:pt idx="11">
                  <c:v>6.6935877047611345E-7</c:v>
                </c:pt>
                <c:pt idx="12">
                  <c:v>2.3724867250195154E-6</c:v>
                </c:pt>
                <c:pt idx="13">
                  <c:v>5.5714833783064171E-6</c:v>
                </c:pt>
                <c:pt idx="14">
                  <c:v>7.3561313630281098E-6</c:v>
                </c:pt>
                <c:pt idx="15">
                  <c:v>3.5995266110966237E-6</c:v>
                </c:pt>
                <c:pt idx="16">
                  <c:v>2.9840369266587502E-7</c:v>
                </c:pt>
                <c:pt idx="17">
                  <c:v>1.1286364655656166E-9</c:v>
                </c:pt>
                <c:pt idx="18">
                  <c:v>1.4949502905850609E-22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94944"/>
        <c:axId val="191396480"/>
      </c:scatterChart>
      <c:valAx>
        <c:axId val="1913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1396480"/>
        <c:crosses val="autoZero"/>
        <c:crossBetween val="midCat"/>
      </c:valAx>
      <c:valAx>
        <c:axId val="191396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3949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2090647529818266"/>
          <c:y val="4.3235867446393773E-2"/>
          <c:w val="0.32193494800491712"/>
          <c:h val="7.04986876640419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Diagrama de Pareto</a:t>
            </a:r>
          </a:p>
        </c:rich>
      </c:tx>
      <c:layout>
        <c:manualLayout>
          <c:xMode val="edge"/>
          <c:yMode val="edge"/>
          <c:x val="0.28131255468066491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51391410972779"/>
          <c:y val="0.10695610965296004"/>
          <c:w val="0.71361162843407555"/>
          <c:h val="0.75391586468358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Pareto!$B$6</c:f>
              <c:strCache>
                <c:ptCount val="1"/>
                <c:pt idx="0">
                  <c:v>Nº de errores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Pareto!$A$7:$A$14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Pareto!$B$7:$B$14</c:f>
              <c:numCache>
                <c:formatCode>General</c:formatCode>
                <c:ptCount val="8"/>
                <c:pt idx="0">
                  <c:v>46</c:v>
                </c:pt>
                <c:pt idx="1">
                  <c:v>38</c:v>
                </c:pt>
                <c:pt idx="2">
                  <c:v>30</c:v>
                </c:pt>
                <c:pt idx="3">
                  <c:v>13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03744"/>
        <c:axId val="193110016"/>
      </c:barChart>
      <c:lineChart>
        <c:grouping val="standard"/>
        <c:varyColors val="0"/>
        <c:ser>
          <c:idx val="1"/>
          <c:order val="1"/>
          <c:tx>
            <c:strRef>
              <c:f>Pareto!$D$6</c:f>
              <c:strCache>
                <c:ptCount val="1"/>
                <c:pt idx="0">
                  <c:v>% Acum. Total</c:v>
                </c:pt>
              </c:strCache>
            </c:strRef>
          </c:tx>
          <c:spPr>
            <a:ln w="19050">
              <a:solidFill>
                <a:srgbClr val="FF4F8A"/>
              </a:solidFill>
            </a:ln>
          </c:spPr>
          <c:marker>
            <c:symbol val="diamond"/>
            <c:size val="4"/>
          </c:marker>
          <c:cat>
            <c:strRef>
              <c:f>Pareto!$A$7:$A$14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Pareto!$D$7:$D$14</c:f>
              <c:numCache>
                <c:formatCode>0.0%</c:formatCode>
                <c:ptCount val="8"/>
                <c:pt idx="0">
                  <c:v>0.32167832167832167</c:v>
                </c:pt>
                <c:pt idx="1">
                  <c:v>0.58741258741258739</c:v>
                </c:pt>
                <c:pt idx="2">
                  <c:v>0.79720279720279719</c:v>
                </c:pt>
                <c:pt idx="3">
                  <c:v>0.88811188811188813</c:v>
                </c:pt>
                <c:pt idx="4">
                  <c:v>0.94405594405594406</c:v>
                </c:pt>
                <c:pt idx="5">
                  <c:v>0.965034965034965</c:v>
                </c:pt>
                <c:pt idx="6">
                  <c:v>0.98601398601398593</c:v>
                </c:pt>
                <c:pt idx="7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30496"/>
        <c:axId val="193111936"/>
      </c:lineChart>
      <c:catAx>
        <c:axId val="193103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 de error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110016"/>
        <c:crosses val="autoZero"/>
        <c:auto val="1"/>
        <c:lblAlgn val="ctr"/>
        <c:lblOffset val="100"/>
        <c:noMultiLvlLbl val="0"/>
      </c:catAx>
      <c:valAx>
        <c:axId val="193110016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 de  errores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93103744"/>
        <c:crosses val="autoZero"/>
        <c:crossBetween val="between"/>
      </c:valAx>
      <c:valAx>
        <c:axId val="193111936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 de errores  acumulados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93130496"/>
        <c:crosses val="max"/>
        <c:crossBetween val="between"/>
      </c:valAx>
      <c:catAx>
        <c:axId val="19313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1119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19050</xdr:rowOff>
        </xdr:from>
        <xdr:to>
          <xdr:col>5</xdr:col>
          <xdr:colOff>704850</xdr:colOff>
          <xdr:row>4</xdr:row>
          <xdr:rowOff>9525</xdr:rowOff>
        </xdr:to>
        <xdr:sp macro="" textlink="">
          <xdr:nvSpPr>
            <xdr:cNvPr id="9217" name="Spin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19050</xdr:rowOff>
        </xdr:from>
        <xdr:to>
          <xdr:col>5</xdr:col>
          <xdr:colOff>695325</xdr:colOff>
          <xdr:row>5</xdr:row>
          <xdr:rowOff>19050</xdr:rowOff>
        </xdr:to>
        <xdr:sp macro="" textlink="">
          <xdr:nvSpPr>
            <xdr:cNvPr id="9218" name="SpinButton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19050</xdr:rowOff>
        </xdr:from>
        <xdr:to>
          <xdr:col>5</xdr:col>
          <xdr:colOff>704850</xdr:colOff>
          <xdr:row>6</xdr:row>
          <xdr:rowOff>19050</xdr:rowOff>
        </xdr:to>
        <xdr:sp macro="" textlink="">
          <xdr:nvSpPr>
            <xdr:cNvPr id="9219" name="SpinButton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661987</xdr:colOff>
      <xdr:row>18</xdr:row>
      <xdr:rowOff>161925</xdr:rowOff>
    </xdr:from>
    <xdr:ext cx="77628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661987" y="3602831"/>
              <a:ext cx="7762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1100" i="1">
                      <a:latin typeface="Cambria Math"/>
                    </a:rPr>
                    <m:t>λ</m:t>
                  </m:r>
                </m:oMath>
              </a14:m>
              <a:r>
                <a:rPr lang="el-GR" sz="1100"/>
                <a:t>Γ</a:t>
              </a:r>
              <a:r>
                <a:rPr lang="es-ES" sz="1100"/>
                <a:t>(1+1/k):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661987" y="3602831"/>
              <a:ext cx="7762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Cambria Math"/>
                </a:rPr>
                <a:t>λ</a:t>
              </a:r>
              <a:r>
                <a:rPr lang="el-GR" sz="1100"/>
                <a:t>Γ</a:t>
              </a:r>
              <a:r>
                <a:rPr lang="es-ES" sz="1100"/>
                <a:t>(1+1/k):</a:t>
              </a:r>
            </a:p>
          </xdr:txBody>
        </xdr:sp>
      </mc:Fallback>
    </mc:AlternateContent>
    <xdr:clientData/>
  </xdr:oneCellAnchor>
  <xdr:twoCellAnchor>
    <xdr:from>
      <xdr:col>7</xdr:col>
      <xdr:colOff>85725</xdr:colOff>
      <xdr:row>0</xdr:row>
      <xdr:rowOff>47625</xdr:rowOff>
    </xdr:from>
    <xdr:to>
      <xdr:col>12</xdr:col>
      <xdr:colOff>428625</xdr:colOff>
      <xdr:row>16</xdr:row>
      <xdr:rowOff>47625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</xdr:colOff>
      <xdr:row>16</xdr:row>
      <xdr:rowOff>114300</xdr:rowOff>
    </xdr:from>
    <xdr:to>
      <xdr:col>12</xdr:col>
      <xdr:colOff>457199</xdr:colOff>
      <xdr:row>32</xdr:row>
      <xdr:rowOff>57150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22</xdr:row>
      <xdr:rowOff>123825</xdr:rowOff>
    </xdr:from>
    <xdr:to>
      <xdr:col>3</xdr:col>
      <xdr:colOff>333375</xdr:colOff>
      <xdr:row>24</xdr:row>
      <xdr:rowOff>47625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05350"/>
          <a:ext cx="18097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49</xdr:row>
      <xdr:rowOff>161925</xdr:rowOff>
    </xdr:from>
    <xdr:to>
      <xdr:col>4</xdr:col>
      <xdr:colOff>342900</xdr:colOff>
      <xdr:row>52</xdr:row>
      <xdr:rowOff>180975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134475"/>
          <a:ext cx="27051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695325</xdr:colOff>
          <xdr:row>7</xdr:row>
          <xdr:rowOff>28575</xdr:rowOff>
        </xdr:to>
        <xdr:sp macro="" textlink="">
          <xdr:nvSpPr>
            <xdr:cNvPr id="9220" name="SpinButton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</xdr:row>
          <xdr:rowOff>0</xdr:rowOff>
        </xdr:from>
        <xdr:to>
          <xdr:col>6</xdr:col>
          <xdr:colOff>519112</xdr:colOff>
          <xdr:row>1</xdr:row>
          <xdr:rowOff>171450</xdr:rowOff>
        </xdr:to>
        <xdr:sp macro="" textlink="">
          <xdr:nvSpPr>
            <xdr:cNvPr id="9224" name="ListBox1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</xdr:colOff>
      <xdr:row>2</xdr:row>
      <xdr:rowOff>57150</xdr:rowOff>
    </xdr:from>
    <xdr:to>
      <xdr:col>9</xdr:col>
      <xdr:colOff>495300</xdr:colOff>
      <xdr:row>14</xdr:row>
      <xdr:rowOff>171451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0.13984</cdr:x>
      <cdr:y>0.29167</cdr:y>
    </cdr:from>
    <cdr:to>
      <cdr:x>0.2738</cdr:x>
      <cdr:y>0.48611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6738" y="800100"/>
          <a:ext cx="54292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rgbClr val="5F5F5F"/>
              </a:solidFill>
            </a:rPr>
            <a:t>Pocos</a:t>
          </a:r>
        </a:p>
        <a:p xmlns:a="http://schemas.openxmlformats.org/drawingml/2006/main">
          <a:r>
            <a:rPr lang="es-ES" sz="1100" b="1">
              <a:solidFill>
                <a:srgbClr val="5F5F5F"/>
              </a:solidFill>
            </a:rPr>
            <a:t>vitales</a:t>
          </a:r>
        </a:p>
      </cdr:txBody>
    </cdr:sp>
  </cdr:relSizeAnchor>
  <cdr:relSizeAnchor xmlns:cdr="http://schemas.openxmlformats.org/drawingml/2006/chartDrawing">
    <cdr:from>
      <cdr:x>0.3443</cdr:x>
      <cdr:y>0.10417</cdr:y>
    </cdr:from>
    <cdr:to>
      <cdr:x>0.34665</cdr:x>
      <cdr:y>0.85764</cdr:y>
    </cdr:to>
    <cdr:cxnSp macro="">
      <cdr:nvCxnSpPr>
        <cdr:cNvPr id="4" name="3 Conector recto"/>
        <cdr:cNvCxnSpPr/>
      </cdr:nvCxnSpPr>
      <cdr:spPr>
        <a:xfrm xmlns:a="http://schemas.openxmlformats.org/drawingml/2006/main" flipV="1">
          <a:off x="1395413" y="285750"/>
          <a:ext cx="9525" cy="20669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0.3395</cdr:x>
      <cdr:y>0.26148</cdr:y>
    </cdr:from>
    <cdr:to>
      <cdr:x>0.83355</cdr:x>
      <cdr:y>0.26502</cdr:y>
    </cdr:to>
    <cdr:cxnSp macro="">
      <cdr:nvCxnSpPr>
        <cdr:cNvPr id="6" name="5 Conector recto"/>
        <cdr:cNvCxnSpPr/>
      </cdr:nvCxnSpPr>
      <cdr:spPr>
        <a:xfrm xmlns:a="http://schemas.openxmlformats.org/drawingml/2006/main" flipH="1">
          <a:off x="1223963" y="704851"/>
          <a:ext cx="1781175" cy="952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0.58637</cdr:x>
      <cdr:y>0.47569</cdr:y>
    </cdr:from>
    <cdr:to>
      <cdr:x>0.73913</cdr:x>
      <cdr:y>0.65972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2376488" y="1304925"/>
          <a:ext cx="6191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rgbClr val="5F5F5F"/>
              </a:solidFill>
            </a:rPr>
            <a:t>Muchos </a:t>
          </a:r>
        </a:p>
        <a:p xmlns:a="http://schemas.openxmlformats.org/drawingml/2006/main">
          <a:r>
            <a:rPr lang="es-ES" sz="1100" b="1">
              <a:solidFill>
                <a:srgbClr val="5F5F5F"/>
              </a:solidFill>
            </a:rPr>
            <a:t>triviales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76"/>
  <sheetViews>
    <sheetView tabSelected="1" zoomScale="80" zoomScaleNormal="80" zoomScaleSheetLayoutView="100" workbookViewId="0">
      <selection activeCell="G7" sqref="G7"/>
    </sheetView>
  </sheetViews>
  <sheetFormatPr baseColWidth="10" defaultRowHeight="15" x14ac:dyDescent="0.25"/>
  <cols>
    <col min="1" max="1" width="11.5703125" bestFit="1" customWidth="1"/>
    <col min="2" max="2" width="14.7109375" bestFit="1" customWidth="1"/>
    <col min="3" max="3" width="14.42578125" bestFit="1" customWidth="1"/>
    <col min="4" max="4" width="12.85546875" bestFit="1" customWidth="1"/>
    <col min="5" max="6" width="11.5703125" bestFit="1" customWidth="1"/>
    <col min="7" max="7" width="14.7109375" bestFit="1" customWidth="1"/>
  </cols>
  <sheetData>
    <row r="1" spans="1:9" x14ac:dyDescent="0.25">
      <c r="A1" s="57" t="s">
        <v>36</v>
      </c>
    </row>
    <row r="2" spans="1:9" x14ac:dyDescent="0.25">
      <c r="A2" s="5"/>
      <c r="E2" s="22" t="s">
        <v>59</v>
      </c>
      <c r="F2" t="s">
        <v>57</v>
      </c>
      <c r="H2" s="93" t="s">
        <v>57</v>
      </c>
    </row>
    <row r="3" spans="1:9" x14ac:dyDescent="0.25">
      <c r="A3" s="27" t="s">
        <v>15</v>
      </c>
      <c r="B3" s="2"/>
      <c r="C3" s="2"/>
      <c r="D3" s="2"/>
      <c r="H3" s="93" t="s">
        <v>58</v>
      </c>
    </row>
    <row r="4" spans="1:9" x14ac:dyDescent="0.25">
      <c r="A4" s="29" t="s">
        <v>18</v>
      </c>
      <c r="B4" s="34">
        <f>E4/10</f>
        <v>3.5</v>
      </c>
      <c r="C4" s="25" t="s">
        <v>16</v>
      </c>
      <c r="D4" s="4"/>
      <c r="E4" s="50">
        <v>35</v>
      </c>
    </row>
    <row r="5" spans="1:9" x14ac:dyDescent="0.25">
      <c r="A5" s="30" t="s">
        <v>19</v>
      </c>
      <c r="B5" s="35">
        <v>351000</v>
      </c>
      <c r="C5" s="28" t="s">
        <v>4</v>
      </c>
      <c r="D5" s="3"/>
      <c r="E5" s="6" t="s">
        <v>62</v>
      </c>
    </row>
    <row r="6" spans="1:9" ht="15.75" x14ac:dyDescent="0.25">
      <c r="A6" s="31" t="s">
        <v>45</v>
      </c>
      <c r="B6" s="35">
        <v>100000</v>
      </c>
      <c r="C6" s="3" t="s">
        <v>63</v>
      </c>
      <c r="D6" s="2"/>
      <c r="E6" s="10" t="s">
        <v>40</v>
      </c>
    </row>
    <row r="7" spans="1:9" x14ac:dyDescent="0.25">
      <c r="A7" s="49" t="s">
        <v>20</v>
      </c>
      <c r="B7" s="7">
        <v>0</v>
      </c>
      <c r="C7" s="32" t="s">
        <v>17</v>
      </c>
      <c r="D7" s="26"/>
      <c r="E7" s="33"/>
    </row>
    <row r="8" spans="1:9" x14ac:dyDescent="0.25">
      <c r="A8" s="22"/>
      <c r="B8" s="8"/>
      <c r="C8" s="23"/>
      <c r="D8" s="8"/>
      <c r="E8" s="22"/>
    </row>
    <row r="9" spans="1:9" ht="15" customHeight="1" x14ac:dyDescent="0.25">
      <c r="A9" s="58" t="s">
        <v>47</v>
      </c>
      <c r="B9" s="58"/>
      <c r="C9" s="59"/>
      <c r="D9" s="58"/>
      <c r="E9" s="60"/>
      <c r="F9" s="58" t="s">
        <v>53</v>
      </c>
      <c r="G9" s="61"/>
      <c r="H9" s="61"/>
      <c r="I9" s="61"/>
    </row>
    <row r="10" spans="1:9" x14ac:dyDescent="0.25">
      <c r="A10" s="62" t="s">
        <v>12</v>
      </c>
      <c r="B10" s="63"/>
      <c r="C10" s="64" t="s">
        <v>9</v>
      </c>
      <c r="D10" s="65">
        <f>1-EXP(-((B6/B5)^B4))</f>
        <v>1.226726010946777E-2</v>
      </c>
      <c r="E10" s="61"/>
      <c r="F10" s="64" t="s">
        <v>9</v>
      </c>
      <c r="G10" s="65">
        <f>1-EXP(-(((B6-B7)/B5)^B4))</f>
        <v>1.226726010946777E-2</v>
      </c>
      <c r="H10" s="61"/>
      <c r="I10" s="61"/>
    </row>
    <row r="11" spans="1:9" x14ac:dyDescent="0.25">
      <c r="A11" s="66" t="s">
        <v>13</v>
      </c>
      <c r="B11" s="67"/>
      <c r="C11" s="64" t="s">
        <v>10</v>
      </c>
      <c r="D11" s="68">
        <f>EXP(-((B6/B5)^B4))</f>
        <v>0.98773273989053223</v>
      </c>
      <c r="E11" s="61"/>
      <c r="F11" s="64" t="s">
        <v>14</v>
      </c>
      <c r="G11" s="90">
        <f>EXP(-(((B6-B7)/B5)^B4))</f>
        <v>0.98773273989053223</v>
      </c>
      <c r="H11" s="61"/>
      <c r="I11" s="61"/>
    </row>
    <row r="12" spans="1:9" x14ac:dyDescent="0.25">
      <c r="A12" s="61"/>
      <c r="B12" s="61"/>
      <c r="C12" s="64" t="s">
        <v>11</v>
      </c>
      <c r="D12" s="65">
        <f>1-D10</f>
        <v>0.98773273989053223</v>
      </c>
      <c r="E12" s="61"/>
      <c r="F12" s="64" t="s">
        <v>11</v>
      </c>
      <c r="G12" s="65">
        <f>1-G10</f>
        <v>0.98773273989053223</v>
      </c>
      <c r="H12" s="61"/>
      <c r="I12" s="61"/>
    </row>
    <row r="13" spans="1:9" x14ac:dyDescent="0.25">
      <c r="A13" s="63" t="s">
        <v>21</v>
      </c>
      <c r="B13" s="63">
        <f>(B4/B5)*((B6/B5)^(B4-1))</f>
        <v>4.3200934039683351E-7</v>
      </c>
      <c r="C13" s="61"/>
      <c r="D13" s="61"/>
      <c r="E13" s="61"/>
      <c r="F13" s="63" t="s">
        <v>21</v>
      </c>
      <c r="G13" s="88">
        <f>(B4/B5)*(((B6-B7)/B5)^(B4-1))</f>
        <v>4.3200934039683351E-7</v>
      </c>
      <c r="H13" s="61"/>
      <c r="I13" s="61"/>
    </row>
    <row r="14" spans="1:9" x14ac:dyDescent="0.25">
      <c r="A14" s="61"/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9" t="s">
        <v>41</v>
      </c>
      <c r="B15" s="70"/>
      <c r="C15" s="67">
        <f>_xlfn.GAMMA((1+1/B4))</f>
        <v>0.8997471765028392</v>
      </c>
      <c r="D15" s="94" t="s">
        <v>61</v>
      </c>
      <c r="E15" s="71"/>
      <c r="F15" s="71"/>
      <c r="G15" s="71"/>
      <c r="H15" s="61"/>
      <c r="I15" s="61"/>
    </row>
    <row r="16" spans="1:9" x14ac:dyDescent="0.25">
      <c r="A16" s="72" t="s">
        <v>48</v>
      </c>
      <c r="B16" s="70"/>
      <c r="C16" s="73">
        <f>B5*C15</f>
        <v>315811.25895249657</v>
      </c>
      <c r="D16" s="71" t="s">
        <v>54</v>
      </c>
      <c r="E16" s="69"/>
      <c r="F16" s="74" t="s">
        <v>49</v>
      </c>
      <c r="G16" s="91">
        <f>C16+B7</f>
        <v>315811.25895249657</v>
      </c>
      <c r="H16" s="61"/>
      <c r="I16" s="61"/>
    </row>
    <row r="17" spans="1:9" x14ac:dyDescent="0.25">
      <c r="A17" s="69" t="s">
        <v>50</v>
      </c>
      <c r="B17" s="70"/>
      <c r="C17" s="75">
        <f>B5*(LN(2)^(1/B4))</f>
        <v>316103.04308887926</v>
      </c>
      <c r="D17" s="61" t="s">
        <v>54</v>
      </c>
      <c r="E17" s="69"/>
      <c r="F17" s="74" t="s">
        <v>51</v>
      </c>
      <c r="G17" s="92">
        <f>C17+B7</f>
        <v>316103.04308887926</v>
      </c>
      <c r="H17" s="61"/>
      <c r="I17" s="61"/>
    </row>
    <row r="18" spans="1:9" x14ac:dyDescent="0.25">
      <c r="A18" s="61"/>
      <c r="B18" s="76"/>
      <c r="C18" s="61"/>
      <c r="D18" s="61"/>
      <c r="E18" s="61"/>
      <c r="F18" s="96" t="s">
        <v>60</v>
      </c>
      <c r="G18" s="61"/>
      <c r="H18" s="61"/>
      <c r="I18" s="61"/>
    </row>
    <row r="19" spans="1:9" x14ac:dyDescent="0.25">
      <c r="A19" s="77" t="str">
        <f>A5</f>
        <v>λ =</v>
      </c>
      <c r="B19" s="78">
        <f>B5</f>
        <v>351000</v>
      </c>
      <c r="C19" s="79" t="s">
        <v>52</v>
      </c>
      <c r="D19" s="80" t="s">
        <v>42</v>
      </c>
      <c r="E19" s="81" t="s">
        <v>37</v>
      </c>
      <c r="F19" s="82" t="s">
        <v>38</v>
      </c>
      <c r="G19" s="83" t="s">
        <v>39</v>
      </c>
      <c r="H19" s="95"/>
      <c r="I19" s="61"/>
    </row>
    <row r="20" spans="1:9" x14ac:dyDescent="0.25">
      <c r="A20" s="77" t="s">
        <v>1</v>
      </c>
      <c r="B20" s="84"/>
      <c r="C20" s="85">
        <f>(1+1/B4)</f>
        <v>1.2857142857142856</v>
      </c>
      <c r="D20" s="86">
        <f>GAMMALN(C20)</f>
        <v>-0.10564147011868034</v>
      </c>
      <c r="E20" s="87">
        <f>EXP(D20)</f>
        <v>0.89974717650283909</v>
      </c>
      <c r="F20" s="89">
        <f>E20*B19</f>
        <v>315811.25895249652</v>
      </c>
      <c r="G20" s="87" t="s">
        <v>40</v>
      </c>
      <c r="I20" s="61"/>
    </row>
    <row r="22" spans="1:9" ht="15.75" x14ac:dyDescent="0.25">
      <c r="A22" s="11" t="s">
        <v>7</v>
      </c>
    </row>
    <row r="23" spans="1:9" x14ac:dyDescent="0.25">
      <c r="A23" s="5" t="s">
        <v>46</v>
      </c>
      <c r="E23" s="55"/>
    </row>
    <row r="24" spans="1:9" ht="30" customHeight="1" x14ac:dyDescent="0.25">
      <c r="A24" s="9" t="s">
        <v>2</v>
      </c>
    </row>
    <row r="25" spans="1:9" x14ac:dyDescent="0.25">
      <c r="A25" t="s">
        <v>3</v>
      </c>
      <c r="C25" s="8">
        <f>B5</f>
        <v>351000</v>
      </c>
      <c r="D25" t="s">
        <v>4</v>
      </c>
    </row>
    <row r="26" spans="1:9" x14ac:dyDescent="0.25">
      <c r="A26" s="5" t="s">
        <v>55</v>
      </c>
      <c r="C26" s="8"/>
    </row>
    <row r="27" spans="1:9" x14ac:dyDescent="0.25">
      <c r="A27" s="52"/>
      <c r="B27" s="13" t="s">
        <v>5</v>
      </c>
      <c r="C27" s="24"/>
      <c r="D27" s="15"/>
      <c r="E27" s="15"/>
      <c r="F27" s="15"/>
    </row>
    <row r="28" spans="1:9" x14ac:dyDescent="0.25">
      <c r="A28" s="52" t="s">
        <v>44</v>
      </c>
      <c r="B28" s="15">
        <f>B4</f>
        <v>3.5</v>
      </c>
      <c r="C28" s="12">
        <f>B28*2</f>
        <v>7</v>
      </c>
      <c r="D28" s="15"/>
      <c r="E28" s="15"/>
      <c r="F28" s="15"/>
    </row>
    <row r="29" spans="1:9" x14ac:dyDescent="0.25">
      <c r="A29" s="16">
        <v>0</v>
      </c>
      <c r="B29" s="16">
        <f>1-EXP(-((A29/$C$25)^$B$28))</f>
        <v>0</v>
      </c>
      <c r="C29" s="12">
        <f>1-EXP(-((A29/$C$25)^$C$28))</f>
        <v>0</v>
      </c>
      <c r="D29" s="15"/>
      <c r="E29" s="15"/>
      <c r="F29" s="15"/>
    </row>
    <row r="30" spans="1:9" x14ac:dyDescent="0.25">
      <c r="A30" s="51">
        <f>$B$6/20</f>
        <v>5000</v>
      </c>
      <c r="B30" s="18">
        <f>1-EXP(-((A30/$C$25)^$B$28))</f>
        <v>3.4500074475030118E-7</v>
      </c>
      <c r="C30" s="14">
        <f t="shared" ref="C30:C47" si="0">1-EXP(-((A30/$C$25)^$C$28))</f>
        <v>1.1901590823981678E-13</v>
      </c>
      <c r="D30" s="15"/>
      <c r="E30" s="15"/>
      <c r="F30" s="15"/>
    </row>
    <row r="31" spans="1:9" x14ac:dyDescent="0.25">
      <c r="A31" s="51">
        <f>$B$6/10</f>
        <v>10000</v>
      </c>
      <c r="B31" s="18">
        <f t="shared" ref="B31:B47" si="1">1-EXP(-((A31/$C$25)^$B$28))</f>
        <v>3.9032309141484589E-6</v>
      </c>
      <c r="C31" s="14">
        <f t="shared" si="0"/>
        <v>1.5235257500023636E-11</v>
      </c>
      <c r="D31" s="15"/>
      <c r="E31" s="15"/>
      <c r="F31" s="15"/>
    </row>
    <row r="32" spans="1:9" x14ac:dyDescent="0.25">
      <c r="A32" s="51">
        <f>$B$6/6</f>
        <v>16666.666666666668</v>
      </c>
      <c r="B32" s="18">
        <f t="shared" si="1"/>
        <v>2.3328706013958644E-5</v>
      </c>
      <c r="C32" s="14">
        <f t="shared" si="0"/>
        <v>5.442412076561709E-10</v>
      </c>
      <c r="D32" s="15"/>
      <c r="E32" s="15"/>
      <c r="F32" s="15"/>
    </row>
    <row r="33" spans="1:6" x14ac:dyDescent="0.25">
      <c r="A33" s="51">
        <f>$B$6/4</f>
        <v>25000</v>
      </c>
      <c r="B33" s="18">
        <f t="shared" si="1"/>
        <v>9.6426007052285989E-5</v>
      </c>
      <c r="C33" s="14">
        <f t="shared" si="0"/>
        <v>9.2988714506248016E-9</v>
      </c>
      <c r="D33" s="15"/>
      <c r="E33" s="15"/>
      <c r="F33" s="15"/>
    </row>
    <row r="34" spans="1:6" x14ac:dyDescent="0.25">
      <c r="A34" s="51">
        <f>$B$6/3</f>
        <v>33333.333333333336</v>
      </c>
      <c r="B34" s="18">
        <f t="shared" si="1"/>
        <v>2.6390242979601464E-4</v>
      </c>
      <c r="C34" s="14">
        <f t="shared" si="0"/>
        <v>6.9662873802833758E-8</v>
      </c>
      <c r="D34" s="15"/>
      <c r="E34" s="15"/>
      <c r="F34" s="15"/>
    </row>
    <row r="35" spans="1:6" x14ac:dyDescent="0.25">
      <c r="A35" s="51">
        <f>$B$6/2.5</f>
        <v>40000</v>
      </c>
      <c r="B35" s="18">
        <f t="shared" si="1"/>
        <v>4.9948974550939607E-4</v>
      </c>
      <c r="C35" s="14">
        <f t="shared" si="0"/>
        <v>2.4961464950568057E-7</v>
      </c>
      <c r="D35" s="15"/>
      <c r="E35" s="15"/>
      <c r="F35" s="15"/>
    </row>
    <row r="36" spans="1:6" x14ac:dyDescent="0.25">
      <c r="A36" s="51">
        <f>$B$6/2</f>
        <v>50000</v>
      </c>
      <c r="B36" s="18">
        <f t="shared" si="1"/>
        <v>1.0903934247724623E-3</v>
      </c>
      <c r="C36" s="14">
        <f t="shared" si="0"/>
        <v>1.1902548413544878E-6</v>
      </c>
      <c r="D36" s="15"/>
      <c r="E36" s="15"/>
      <c r="F36" s="15"/>
    </row>
    <row r="37" spans="1:6" x14ac:dyDescent="0.25">
      <c r="A37" s="51">
        <f>$B$6/1.5</f>
        <v>66666.666666666672</v>
      </c>
      <c r="B37" s="18">
        <f t="shared" si="1"/>
        <v>2.981655211344858E-3</v>
      </c>
      <c r="C37" s="14">
        <f t="shared" si="0"/>
        <v>8.9168084050905705E-6</v>
      </c>
      <c r="D37" s="15"/>
      <c r="E37" s="15"/>
      <c r="F37" s="15"/>
    </row>
    <row r="38" spans="1:6" x14ac:dyDescent="0.25">
      <c r="A38" s="56">
        <f>$B$6</f>
        <v>100000</v>
      </c>
      <c r="B38" s="18">
        <f t="shared" si="1"/>
        <v>1.226726010946777E-2</v>
      </c>
      <c r="C38" s="14">
        <f t="shared" si="0"/>
        <v>1.5234110527451161E-4</v>
      </c>
      <c r="D38" s="15"/>
      <c r="E38" s="15"/>
      <c r="F38" s="15"/>
    </row>
    <row r="39" spans="1:6" x14ac:dyDescent="0.25">
      <c r="A39" s="51">
        <f>$B$6*1.5</f>
        <v>150000</v>
      </c>
      <c r="B39" s="18">
        <f t="shared" si="1"/>
        <v>4.9740786391122449E-2</v>
      </c>
      <c r="C39" s="14">
        <f t="shared" si="0"/>
        <v>2.5997037891509756E-3</v>
      </c>
      <c r="D39" s="15"/>
      <c r="E39" s="15"/>
      <c r="F39" s="15"/>
    </row>
    <row r="40" spans="1:6" x14ac:dyDescent="0.25">
      <c r="A40" s="51">
        <f>$B$6*2</f>
        <v>200000</v>
      </c>
      <c r="B40" s="18">
        <f t="shared" si="1"/>
        <v>0.13033439825480375</v>
      </c>
      <c r="C40" s="14">
        <f t="shared" si="0"/>
        <v>1.9312229588267504E-2</v>
      </c>
      <c r="D40" s="15"/>
      <c r="E40" s="15"/>
      <c r="F40" s="15"/>
    </row>
    <row r="41" spans="1:6" x14ac:dyDescent="0.25">
      <c r="A41" s="51">
        <f>$B$6*2.5</f>
        <v>250000</v>
      </c>
      <c r="B41" s="18">
        <f t="shared" si="1"/>
        <v>0.26283277305180475</v>
      </c>
      <c r="C41" s="14">
        <f t="shared" si="0"/>
        <v>8.8796216662160421E-2</v>
      </c>
      <c r="D41" s="15"/>
      <c r="E41" s="15"/>
      <c r="F41" s="15"/>
    </row>
    <row r="42" spans="1:6" x14ac:dyDescent="0.25">
      <c r="A42" s="51">
        <f>$B$6*3</f>
        <v>300000</v>
      </c>
      <c r="B42" s="18">
        <f t="shared" si="1"/>
        <v>0.43854900491543203</v>
      </c>
      <c r="C42" s="14">
        <f t="shared" si="0"/>
        <v>0.28336983297332796</v>
      </c>
      <c r="D42" s="15"/>
      <c r="E42" s="15"/>
      <c r="F42" s="15"/>
    </row>
    <row r="43" spans="1:6" x14ac:dyDescent="0.25">
      <c r="A43" s="51">
        <f>$B$6*3.5</f>
        <v>350000</v>
      </c>
      <c r="B43" s="18">
        <f t="shared" ref="B43:B46" si="2">1-EXP(-((A43/$C$25)^$B$28))</f>
        <v>0.62844707074683581</v>
      </c>
      <c r="C43" s="14">
        <f t="shared" ref="C43:C46" si="3">1-EXP(-((A43/$C$25)^$C$28))</f>
        <v>0.62477394682143683</v>
      </c>
      <c r="D43" s="15"/>
      <c r="E43" s="15"/>
      <c r="F43" s="15"/>
    </row>
    <row r="44" spans="1:6" x14ac:dyDescent="0.25">
      <c r="A44" s="51">
        <f>$B$6*4</f>
        <v>400000</v>
      </c>
      <c r="B44" s="18">
        <f t="shared" si="2"/>
        <v>0.7940083970601497</v>
      </c>
      <c r="C44" s="14">
        <f t="shared" si="3"/>
        <v>0.91759810184960777</v>
      </c>
      <c r="D44" s="15"/>
      <c r="E44" s="15"/>
      <c r="F44" s="15"/>
    </row>
    <row r="45" spans="1:6" x14ac:dyDescent="0.25">
      <c r="A45" s="51">
        <f>$B$6*4.5</f>
        <v>450000</v>
      </c>
      <c r="B45" s="18">
        <f t="shared" si="2"/>
        <v>0.90800228058674104</v>
      </c>
      <c r="C45" s="14">
        <f t="shared" si="3"/>
        <v>0.99663038032208984</v>
      </c>
      <c r="D45" s="15"/>
      <c r="E45" s="15"/>
      <c r="F45" s="15"/>
    </row>
    <row r="46" spans="1:6" x14ac:dyDescent="0.25">
      <c r="A46" s="51">
        <f>$B$6*5</f>
        <v>500000</v>
      </c>
      <c r="B46" s="18">
        <f t="shared" si="2"/>
        <v>0.96825461895130416</v>
      </c>
      <c r="C46" s="14">
        <f t="shared" si="3"/>
        <v>0.99999322692589676</v>
      </c>
      <c r="D46" s="15"/>
      <c r="E46" s="15"/>
      <c r="F46" s="15"/>
    </row>
    <row r="47" spans="1:6" x14ac:dyDescent="0.25">
      <c r="A47" s="53">
        <f>$B$6*6</f>
        <v>600000</v>
      </c>
      <c r="B47" s="19">
        <f t="shared" si="1"/>
        <v>0.99854189965274964</v>
      </c>
      <c r="C47" s="21">
        <f t="shared" si="0"/>
        <v>1</v>
      </c>
      <c r="D47" s="15"/>
      <c r="E47" s="15"/>
      <c r="F47" s="15"/>
    </row>
    <row r="49" spans="1:7" ht="15.75" x14ac:dyDescent="0.25">
      <c r="A49" s="11" t="s">
        <v>7</v>
      </c>
    </row>
    <row r="50" spans="1:7" x14ac:dyDescent="0.25">
      <c r="A50" s="5" t="s">
        <v>43</v>
      </c>
    </row>
    <row r="52" spans="1:7" x14ac:dyDescent="0.25">
      <c r="A52" s="9" t="s">
        <v>8</v>
      </c>
    </row>
    <row r="54" spans="1:7" x14ac:dyDescent="0.25">
      <c r="A54" t="s">
        <v>3</v>
      </c>
      <c r="C54" s="54">
        <f>B5</f>
        <v>351000</v>
      </c>
      <c r="D54" t="s">
        <v>4</v>
      </c>
    </row>
    <row r="55" spans="1:7" x14ac:dyDescent="0.25">
      <c r="A55" s="5" t="s">
        <v>56</v>
      </c>
      <c r="C55" s="8"/>
    </row>
    <row r="56" spans="1:7" x14ac:dyDescent="0.25">
      <c r="A56" s="16"/>
      <c r="B56" s="12"/>
      <c r="C56" s="13" t="s">
        <v>5</v>
      </c>
      <c r="E56" s="15"/>
      <c r="F56" s="15"/>
      <c r="G56" s="15"/>
    </row>
    <row r="57" spans="1:7" x14ac:dyDescent="0.25">
      <c r="A57" s="52" t="s">
        <v>44</v>
      </c>
      <c r="B57" s="14" t="s">
        <v>6</v>
      </c>
      <c r="C57" s="12">
        <f>B4</f>
        <v>3.5</v>
      </c>
      <c r="D57" s="16">
        <f>C57*2</f>
        <v>7</v>
      </c>
      <c r="E57" s="15"/>
      <c r="F57" s="15"/>
      <c r="G57" s="15"/>
    </row>
    <row r="58" spans="1:7" x14ac:dyDescent="0.25">
      <c r="A58" s="16">
        <v>0</v>
      </c>
      <c r="B58" s="16">
        <f>A58/$C$54</f>
        <v>0</v>
      </c>
      <c r="C58" s="16">
        <f>($C$57/$C$54)*(EXP(-(B58^$C$57)))*B58^($C$57-1)</f>
        <v>0</v>
      </c>
      <c r="D58" s="12">
        <f>($D$57/$C$54)*(EXP(-(B58^$D$57)))*B58^($D$57-1)</f>
        <v>0</v>
      </c>
      <c r="E58" s="15"/>
      <c r="F58" s="15"/>
      <c r="G58" s="15"/>
    </row>
    <row r="59" spans="1:7" x14ac:dyDescent="0.25">
      <c r="A59" s="51">
        <f>$B$6/20</f>
        <v>5000</v>
      </c>
      <c r="B59" s="18">
        <f t="shared" ref="B59:B72" si="4">A59/$C$54</f>
        <v>1.4245014245014245E-2</v>
      </c>
      <c r="C59" s="18">
        <f t="shared" ref="C59:C72" si="5">($C$57/$C$54)*(EXP(-(B59^$C$57)))*B59^($C$57-1)</f>
        <v>2.4150047969266716E-10</v>
      </c>
      <c r="D59" s="14">
        <f t="shared" ref="D59:D72" si="6">($D$57/$C$54)*(EXP(-(B59^$D$57)))*B59^($D$57-1)</f>
        <v>1.6663577695543303E-16</v>
      </c>
      <c r="E59" s="15"/>
      <c r="F59" s="15"/>
      <c r="G59" s="15"/>
    </row>
    <row r="60" spans="1:7" x14ac:dyDescent="0.25">
      <c r="A60" s="51">
        <f>$B$6/10</f>
        <v>10000</v>
      </c>
      <c r="B60" s="18">
        <f t="shared" si="4"/>
        <v>2.8490028490028491E-2</v>
      </c>
      <c r="C60" s="18">
        <f t="shared" si="5"/>
        <v>1.3661281537865284E-9</v>
      </c>
      <c r="D60" s="14">
        <f t="shared" si="6"/>
        <v>1.0664689724986505E-14</v>
      </c>
      <c r="E60" s="15"/>
      <c r="F60" s="15"/>
      <c r="G60" s="15"/>
    </row>
    <row r="61" spans="1:7" x14ac:dyDescent="0.25">
      <c r="A61" s="51">
        <f>$B$6/6</f>
        <v>16666.666666666668</v>
      </c>
      <c r="B61" s="18">
        <f t="shared" si="4"/>
        <v>4.7483380816714153E-2</v>
      </c>
      <c r="C61" s="18">
        <f t="shared" si="5"/>
        <v>4.8989711184942378E-9</v>
      </c>
      <c r="D61" s="14">
        <f t="shared" si="6"/>
        <v>2.2858131257169125E-13</v>
      </c>
      <c r="E61" s="15"/>
      <c r="F61" s="15"/>
      <c r="G61" s="15"/>
    </row>
    <row r="62" spans="1:7" x14ac:dyDescent="0.25">
      <c r="A62" s="51">
        <f>$B$6/4</f>
        <v>25000</v>
      </c>
      <c r="B62" s="18">
        <f t="shared" si="4"/>
        <v>7.1225071225071226E-2</v>
      </c>
      <c r="C62" s="18">
        <f t="shared" si="5"/>
        <v>1.3498990108160316E-8</v>
      </c>
      <c r="D62" s="14">
        <f t="shared" si="6"/>
        <v>2.6036839907176295E-12</v>
      </c>
      <c r="E62" s="15"/>
      <c r="F62" s="15"/>
      <c r="G62" s="15"/>
    </row>
    <row r="63" spans="1:7" x14ac:dyDescent="0.25">
      <c r="A63" s="51">
        <f>$B$6/3</f>
        <v>33333.333333333336</v>
      </c>
      <c r="B63" s="18">
        <f t="shared" si="4"/>
        <v>9.4966761633428307E-2</v>
      </c>
      <c r="C63" s="18">
        <f t="shared" si="5"/>
        <v>2.7706098471045085E-8</v>
      </c>
      <c r="D63" s="14">
        <f t="shared" si="6"/>
        <v>1.462920299343766E-11</v>
      </c>
      <c r="E63" s="15"/>
      <c r="F63" s="15"/>
      <c r="G63" s="15"/>
    </row>
    <row r="64" spans="1:7" x14ac:dyDescent="0.25">
      <c r="A64" s="51">
        <f>$B$6/2.5</f>
        <v>40000</v>
      </c>
      <c r="B64" s="18">
        <f t="shared" si="4"/>
        <v>0.11396011396011396</v>
      </c>
      <c r="C64" s="18">
        <f t="shared" si="5"/>
        <v>4.3694435726517401E-8</v>
      </c>
      <c r="D64" s="14">
        <f t="shared" si="6"/>
        <v>4.3682558210401054E-11</v>
      </c>
      <c r="E64" s="15"/>
      <c r="F64" s="15"/>
      <c r="G64" s="15"/>
    </row>
    <row r="65" spans="1:7" x14ac:dyDescent="0.25">
      <c r="A65" s="51">
        <f>$B$6/2</f>
        <v>50000</v>
      </c>
      <c r="B65" s="18">
        <f t="shared" si="4"/>
        <v>0.14245014245014245</v>
      </c>
      <c r="C65" s="18">
        <f t="shared" si="5"/>
        <v>7.6285911077052927E-8</v>
      </c>
      <c r="D65" s="14">
        <f t="shared" si="6"/>
        <v>1.6663557861641269E-10</v>
      </c>
      <c r="E65" s="15"/>
      <c r="F65" s="15"/>
      <c r="G65" s="15"/>
    </row>
    <row r="66" spans="1:7" x14ac:dyDescent="0.25">
      <c r="A66" s="51">
        <f>$B$6/1.5</f>
        <v>66666.666666666672</v>
      </c>
      <c r="B66" s="18">
        <f t="shared" si="4"/>
        <v>0.18993352326685661</v>
      </c>
      <c r="C66" s="18">
        <f t="shared" si="5"/>
        <v>1.5630329677697327E-7</v>
      </c>
      <c r="D66" s="14">
        <f t="shared" si="6"/>
        <v>9.362607082714083E-10</v>
      </c>
      <c r="E66" s="15"/>
      <c r="F66" s="15"/>
      <c r="G66" s="15"/>
    </row>
    <row r="67" spans="1:7" x14ac:dyDescent="0.25">
      <c r="A67" s="56">
        <f>$B$6</f>
        <v>100000</v>
      </c>
      <c r="B67" s="18">
        <f t="shared" si="4"/>
        <v>0.28490028490028491</v>
      </c>
      <c r="C67" s="18">
        <f t="shared" si="5"/>
        <v>4.2670976944846598E-7</v>
      </c>
      <c r="D67" s="14">
        <f t="shared" si="6"/>
        <v>1.066306505452885E-8</v>
      </c>
      <c r="E67" s="15"/>
      <c r="F67" s="15"/>
      <c r="G67" s="15"/>
    </row>
    <row r="68" spans="1:7" x14ac:dyDescent="0.25">
      <c r="A68" s="51">
        <f>$B$6*1.5</f>
        <v>150000</v>
      </c>
      <c r="B68" s="18">
        <f t="shared" si="4"/>
        <v>0.42735042735042733</v>
      </c>
      <c r="C68" s="18">
        <f t="shared" si="5"/>
        <v>1.1312624544295883E-6</v>
      </c>
      <c r="D68" s="14">
        <f t="shared" si="6"/>
        <v>1.2116167593183166E-7</v>
      </c>
      <c r="E68" s="15"/>
      <c r="F68" s="15"/>
      <c r="G68" s="15"/>
    </row>
    <row r="69" spans="1:7" x14ac:dyDescent="0.25">
      <c r="A69" s="51">
        <f>$B$6*2</f>
        <v>200000</v>
      </c>
      <c r="B69" s="18">
        <f t="shared" si="4"/>
        <v>0.56980056980056981</v>
      </c>
      <c r="C69" s="18">
        <f t="shared" si="5"/>
        <v>2.1253008624542673E-6</v>
      </c>
      <c r="D69" s="14">
        <f t="shared" si="6"/>
        <v>6.6935877047611345E-7</v>
      </c>
      <c r="E69" s="15"/>
      <c r="F69" s="15"/>
      <c r="G69" s="15"/>
    </row>
    <row r="70" spans="1:7" x14ac:dyDescent="0.25">
      <c r="A70" s="51">
        <f>$B$6*2.5</f>
        <v>250000</v>
      </c>
      <c r="B70" s="18">
        <f t="shared" si="4"/>
        <v>0.71225071225071224</v>
      </c>
      <c r="C70" s="18">
        <f t="shared" si="5"/>
        <v>3.1470901050152384E-6</v>
      </c>
      <c r="D70" s="14">
        <f t="shared" si="6"/>
        <v>2.3724867250195154E-6</v>
      </c>
      <c r="E70" s="15"/>
      <c r="F70" s="15"/>
      <c r="G70" s="15"/>
    </row>
    <row r="71" spans="1:7" x14ac:dyDescent="0.25">
      <c r="A71" s="51">
        <f>$B$6*3</f>
        <v>300000</v>
      </c>
      <c r="B71" s="18">
        <f t="shared" si="4"/>
        <v>0.85470085470085466</v>
      </c>
      <c r="C71" s="18">
        <f t="shared" si="5"/>
        <v>3.7810126416476874E-6</v>
      </c>
      <c r="D71" s="14">
        <f t="shared" si="6"/>
        <v>5.5714833783064171E-6</v>
      </c>
      <c r="E71" s="15"/>
      <c r="F71" s="15"/>
      <c r="G71" s="15"/>
    </row>
    <row r="72" spans="1:7" x14ac:dyDescent="0.25">
      <c r="A72" s="51">
        <f>$B$6*3.5</f>
        <v>350000</v>
      </c>
      <c r="B72" s="18">
        <f t="shared" si="4"/>
        <v>0.9971509971509972</v>
      </c>
      <c r="C72" s="18">
        <f t="shared" si="5"/>
        <v>3.6786116096973316E-6</v>
      </c>
      <c r="D72" s="14">
        <f t="shared" si="6"/>
        <v>7.3561313630281098E-6</v>
      </c>
      <c r="E72" s="15"/>
      <c r="F72" s="15"/>
      <c r="G72" s="15"/>
    </row>
    <row r="73" spans="1:7" x14ac:dyDescent="0.25">
      <c r="A73" s="51">
        <f>$B$6*4</f>
        <v>400000</v>
      </c>
      <c r="B73" s="18">
        <f t="shared" ref="B73:B76" si="7">A73/$C$54</f>
        <v>1.1396011396011396</v>
      </c>
      <c r="C73" s="18">
        <f t="shared" ref="C73:C76" si="8">($C$57/$C$54)*(EXP(-(B73^$C$57)))*B73^($C$57-1)</f>
        <v>2.8476894884265987E-6</v>
      </c>
      <c r="D73" s="14">
        <f t="shared" ref="D73:D76" si="9">($D$57/$C$54)*(EXP(-(B73^$D$57)))*B73^($D$57-1)</f>
        <v>3.5995266110966237E-6</v>
      </c>
    </row>
    <row r="74" spans="1:7" x14ac:dyDescent="0.25">
      <c r="A74" s="51">
        <f>$B$6*4.5</f>
        <v>450000</v>
      </c>
      <c r="B74" s="18">
        <f t="shared" si="7"/>
        <v>1.2820512820512822</v>
      </c>
      <c r="C74" s="18">
        <f t="shared" si="8"/>
        <v>1.707267144584509E-6</v>
      </c>
      <c r="D74" s="14">
        <f t="shared" si="9"/>
        <v>2.9840369266587502E-7</v>
      </c>
    </row>
    <row r="75" spans="1:7" x14ac:dyDescent="0.25">
      <c r="A75" s="51">
        <f>$B$6*5</f>
        <v>500000</v>
      </c>
      <c r="B75" s="18">
        <f t="shared" si="7"/>
        <v>1.4245014245014245</v>
      </c>
      <c r="C75" s="18">
        <f t="shared" si="8"/>
        <v>7.6665273962442177E-7</v>
      </c>
      <c r="D75" s="14">
        <f t="shared" si="9"/>
        <v>1.1286364655656166E-9</v>
      </c>
    </row>
    <row r="76" spans="1:7" x14ac:dyDescent="0.25">
      <c r="A76" s="53">
        <f>$B$6*6</f>
        <v>600000</v>
      </c>
      <c r="B76" s="19">
        <f t="shared" si="7"/>
        <v>1.7094017094017093</v>
      </c>
      <c r="C76" s="19">
        <f t="shared" si="8"/>
        <v>5.5546752852686444E-8</v>
      </c>
      <c r="D76" s="21">
        <f t="shared" si="9"/>
        <v>1.4949502905850609E-22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SpinButton1">
          <controlPr defaultSize="0" autoLine="0" linkedCell="E4" r:id="rId5">
            <anchor moveWithCells="1">
              <from>
                <xdr:col>5</xdr:col>
                <xdr:colOff>114300</xdr:colOff>
                <xdr:row>3</xdr:row>
                <xdr:rowOff>19050</xdr:rowOff>
              </from>
              <to>
                <xdr:col>5</xdr:col>
                <xdr:colOff>704850</xdr:colOff>
                <xdr:row>4</xdr:row>
                <xdr:rowOff>9525</xdr:rowOff>
              </to>
            </anchor>
          </controlPr>
        </control>
      </mc:Choice>
      <mc:Fallback>
        <control shapeId="9217" r:id="rId4" name="SpinButton1"/>
      </mc:Fallback>
    </mc:AlternateContent>
    <mc:AlternateContent xmlns:mc="http://schemas.openxmlformats.org/markup-compatibility/2006">
      <mc:Choice Requires="x14">
        <control shapeId="9218" r:id="rId6" name="SpinButton2">
          <controlPr defaultSize="0" autoLine="0" linkedCell="B5" r:id="rId7">
            <anchor moveWithCells="1">
              <from>
                <xdr:col>5</xdr:col>
                <xdr:colOff>114300</xdr:colOff>
                <xdr:row>4</xdr:row>
                <xdr:rowOff>19050</xdr:rowOff>
              </from>
              <to>
                <xdr:col>5</xdr:col>
                <xdr:colOff>695325</xdr:colOff>
                <xdr:row>5</xdr:row>
                <xdr:rowOff>19050</xdr:rowOff>
              </to>
            </anchor>
          </controlPr>
        </control>
      </mc:Choice>
      <mc:Fallback>
        <control shapeId="9218" r:id="rId6" name="SpinButton2"/>
      </mc:Fallback>
    </mc:AlternateContent>
    <mc:AlternateContent xmlns:mc="http://schemas.openxmlformats.org/markup-compatibility/2006">
      <mc:Choice Requires="x14">
        <control shapeId="9219" r:id="rId8" name="SpinButton3">
          <controlPr defaultSize="0" autoLine="0" linkedCell="B6" r:id="rId9">
            <anchor moveWithCells="1">
              <from>
                <xdr:col>5</xdr:col>
                <xdr:colOff>114300</xdr:colOff>
                <xdr:row>5</xdr:row>
                <xdr:rowOff>19050</xdr:rowOff>
              </from>
              <to>
                <xdr:col>5</xdr:col>
                <xdr:colOff>704850</xdr:colOff>
                <xdr:row>6</xdr:row>
                <xdr:rowOff>19050</xdr:rowOff>
              </to>
            </anchor>
          </controlPr>
        </control>
      </mc:Choice>
      <mc:Fallback>
        <control shapeId="9219" r:id="rId8" name="SpinButton3"/>
      </mc:Fallback>
    </mc:AlternateContent>
    <mc:AlternateContent xmlns:mc="http://schemas.openxmlformats.org/markup-compatibility/2006">
      <mc:Choice Requires="x14">
        <control shapeId="9220" r:id="rId10" name="SpinButton4">
          <controlPr defaultSize="0" autoLine="0" linkedCell="B7" r:id="rId11">
            <anchor moveWithCells="1">
              <from>
                <xdr:col>5</xdr:col>
                <xdr:colOff>104775</xdr:colOff>
                <xdr:row>6</xdr:row>
                <xdr:rowOff>28575</xdr:rowOff>
              </from>
              <to>
                <xdr:col>5</xdr:col>
                <xdr:colOff>695325</xdr:colOff>
                <xdr:row>7</xdr:row>
                <xdr:rowOff>28575</xdr:rowOff>
              </to>
            </anchor>
          </controlPr>
        </control>
      </mc:Choice>
      <mc:Fallback>
        <control shapeId="9220" r:id="rId10" name="SpinButton4"/>
      </mc:Fallback>
    </mc:AlternateContent>
    <mc:AlternateContent xmlns:mc="http://schemas.openxmlformats.org/markup-compatibility/2006">
      <mc:Choice Requires="x14">
        <control shapeId="9224" r:id="rId12" name="ListBox1">
          <controlPr defaultSize="0" autoLine="0" linkedCell="F2" listFillRange="H2:H3" r:id="rId13">
            <anchor moveWithCells="1">
              <from>
                <xdr:col>5</xdr:col>
                <xdr:colOff>9525</xdr:colOff>
                <xdr:row>1</xdr:row>
                <xdr:rowOff>0</xdr:rowOff>
              </from>
              <to>
                <xdr:col>6</xdr:col>
                <xdr:colOff>523875</xdr:colOff>
                <xdr:row>1</xdr:row>
                <xdr:rowOff>171450</xdr:rowOff>
              </to>
            </anchor>
          </controlPr>
        </control>
      </mc:Choice>
      <mc:Fallback>
        <control shapeId="9224" r:id="rId1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1"/>
  <sheetViews>
    <sheetView workbookViewId="0">
      <selection activeCell="G21" sqref="G21"/>
    </sheetView>
  </sheetViews>
  <sheetFormatPr baseColWidth="10" defaultColWidth="8.7109375" defaultRowHeight="15" x14ac:dyDescent="0.25"/>
  <cols>
    <col min="5" max="5" width="8.7109375" style="1"/>
  </cols>
  <sheetData>
    <row r="1" spans="1:6" x14ac:dyDescent="0.25">
      <c r="A1" s="5" t="s">
        <v>22</v>
      </c>
      <c r="F1" s="37"/>
    </row>
    <row r="2" spans="1:6" x14ac:dyDescent="0.25">
      <c r="A2" s="5"/>
      <c r="F2" s="37"/>
    </row>
    <row r="3" spans="1:6" x14ac:dyDescent="0.25">
      <c r="A3" s="5"/>
      <c r="F3" s="37"/>
    </row>
    <row r="4" spans="1:6" x14ac:dyDescent="0.25">
      <c r="A4" s="5" t="s">
        <v>35</v>
      </c>
      <c r="F4" s="37"/>
    </row>
    <row r="6" spans="1:6" s="36" customFormat="1" ht="26.25" x14ac:dyDescent="0.25">
      <c r="A6" s="48" t="s">
        <v>25</v>
      </c>
      <c r="B6" s="48" t="s">
        <v>23</v>
      </c>
      <c r="C6" s="48" t="s">
        <v>24</v>
      </c>
      <c r="D6" s="48" t="s">
        <v>26</v>
      </c>
      <c r="E6" s="38"/>
    </row>
    <row r="7" spans="1:6" x14ac:dyDescent="0.25">
      <c r="A7" s="16" t="s">
        <v>27</v>
      </c>
      <c r="B7" s="17">
        <v>46</v>
      </c>
      <c r="C7" s="40">
        <f t="shared" ref="C7:C15" si="0">B7/$B$15</f>
        <v>0.32167832167832167</v>
      </c>
      <c r="D7" s="41">
        <f>C7</f>
        <v>0.32167832167832167</v>
      </c>
    </row>
    <row r="8" spans="1:6" x14ac:dyDescent="0.25">
      <c r="A8" s="18" t="s">
        <v>28</v>
      </c>
      <c r="B8" s="15">
        <v>38</v>
      </c>
      <c r="C8" s="42">
        <f t="shared" si="0"/>
        <v>0.26573426573426573</v>
      </c>
      <c r="D8" s="43">
        <f>D7+C8</f>
        <v>0.58741258741258739</v>
      </c>
    </row>
    <row r="9" spans="1:6" x14ac:dyDescent="0.25">
      <c r="A9" s="18" t="s">
        <v>29</v>
      </c>
      <c r="B9" s="15">
        <v>30</v>
      </c>
      <c r="C9" s="42">
        <f t="shared" si="0"/>
        <v>0.20979020979020979</v>
      </c>
      <c r="D9" s="43">
        <f t="shared" ref="D9:D14" si="1">D8+C9</f>
        <v>0.79720279720279719</v>
      </c>
    </row>
    <row r="10" spans="1:6" x14ac:dyDescent="0.25">
      <c r="A10" s="18" t="s">
        <v>30</v>
      </c>
      <c r="B10" s="15">
        <v>13</v>
      </c>
      <c r="C10" s="42">
        <f t="shared" si="0"/>
        <v>9.0909090909090912E-2</v>
      </c>
      <c r="D10" s="43">
        <f t="shared" si="1"/>
        <v>0.88811188811188813</v>
      </c>
    </row>
    <row r="11" spans="1:6" x14ac:dyDescent="0.25">
      <c r="A11" s="18" t="s">
        <v>31</v>
      </c>
      <c r="B11" s="15">
        <v>8</v>
      </c>
      <c r="C11" s="42">
        <f t="shared" si="0"/>
        <v>5.5944055944055944E-2</v>
      </c>
      <c r="D11" s="43">
        <f t="shared" si="1"/>
        <v>0.94405594405594406</v>
      </c>
    </row>
    <row r="12" spans="1:6" x14ac:dyDescent="0.25">
      <c r="A12" s="18" t="s">
        <v>0</v>
      </c>
      <c r="B12" s="15">
        <v>3</v>
      </c>
      <c r="C12" s="42">
        <f t="shared" si="0"/>
        <v>2.097902097902098E-2</v>
      </c>
      <c r="D12" s="43">
        <f t="shared" si="1"/>
        <v>0.965034965034965</v>
      </c>
    </row>
    <row r="13" spans="1:6" x14ac:dyDescent="0.25">
      <c r="A13" s="18" t="s">
        <v>32</v>
      </c>
      <c r="B13" s="15">
        <v>3</v>
      </c>
      <c r="C13" s="42">
        <f t="shared" si="0"/>
        <v>2.097902097902098E-2</v>
      </c>
      <c r="D13" s="43">
        <f t="shared" si="1"/>
        <v>0.98601398601398593</v>
      </c>
    </row>
    <row r="14" spans="1:6" x14ac:dyDescent="0.25">
      <c r="A14" s="19" t="s">
        <v>33</v>
      </c>
      <c r="B14" s="20">
        <v>2</v>
      </c>
      <c r="C14" s="44">
        <f t="shared" si="0"/>
        <v>1.3986013986013986E-2</v>
      </c>
      <c r="D14" s="45">
        <f t="shared" si="1"/>
        <v>0.99999999999999989</v>
      </c>
    </row>
    <row r="15" spans="1:6" x14ac:dyDescent="0.25">
      <c r="A15" s="21" t="s">
        <v>34</v>
      </c>
      <c r="B15" s="21">
        <f>SUM(B7:B14)</f>
        <v>143</v>
      </c>
      <c r="C15" s="46">
        <f t="shared" si="0"/>
        <v>1</v>
      </c>
      <c r="D15" s="47"/>
    </row>
    <row r="18" spans="1:2" x14ac:dyDescent="0.25">
      <c r="A18" s="39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Calculo_Weibull</vt:lpstr>
      <vt:lpstr>Pareto</vt:lpstr>
    </vt:vector>
  </TitlesOfParts>
  <Company>HUMV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usge3</dc:creator>
  <cp:lastModifiedBy>usge3</cp:lastModifiedBy>
  <dcterms:created xsi:type="dcterms:W3CDTF">2016-10-09T08:59:05Z</dcterms:created>
  <dcterms:modified xsi:type="dcterms:W3CDTF">2018-02-18T10:00:52Z</dcterms:modified>
</cp:coreProperties>
</file>